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130" windowHeight="880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/>
  <c r="I43"/>
  <c r="I35"/>
  <c r="I11"/>
  <c r="F44"/>
  <c r="D47" s="1"/>
  <c r="F47" s="1"/>
  <c r="J69" l="1"/>
  <c r="F69"/>
  <c r="J68"/>
  <c r="F68"/>
  <c r="D72" s="1"/>
  <c r="J67"/>
  <c r="F67"/>
  <c r="D71" s="1"/>
  <c r="I71" s="1"/>
  <c r="J66"/>
  <c r="F66"/>
  <c r="D70" s="1"/>
  <c r="I70" s="1"/>
  <c r="I65"/>
  <c r="J65" s="1"/>
  <c r="F36"/>
  <c r="F35"/>
  <c r="F43"/>
  <c r="F75" l="1"/>
  <c r="I72"/>
  <c r="J72" s="1"/>
  <c r="F74"/>
  <c r="F73"/>
  <c r="F71"/>
  <c r="J71"/>
  <c r="J43"/>
  <c r="D46"/>
  <c r="D39"/>
  <c r="J35"/>
  <c r="D38"/>
  <c r="I38" s="1"/>
  <c r="F46" l="1"/>
  <c r="I46"/>
  <c r="F70"/>
  <c r="J70"/>
  <c r="J76" s="1"/>
  <c r="I76"/>
  <c r="F45"/>
  <c r="I39"/>
  <c r="J39" s="1"/>
  <c r="F39"/>
  <c r="F38"/>
  <c r="F37"/>
  <c r="I47"/>
  <c r="J47" s="1"/>
  <c r="J52"/>
  <c r="J53"/>
  <c r="J54"/>
  <c r="J55"/>
  <c r="I51"/>
  <c r="J51" s="1"/>
  <c r="J46" l="1"/>
  <c r="I48"/>
  <c r="I40"/>
  <c r="J38"/>
  <c r="J40" s="1"/>
  <c r="F55"/>
  <c r="F54"/>
  <c r="D58" s="1"/>
  <c r="F53"/>
  <c r="D57" s="1"/>
  <c r="I57" s="1"/>
  <c r="F52"/>
  <c r="D56" s="1"/>
  <c r="J48" l="1"/>
  <c r="F56"/>
  <c r="I56"/>
  <c r="J56" s="1"/>
  <c r="F57"/>
  <c r="J57"/>
  <c r="F61"/>
  <c r="I58"/>
  <c r="F59"/>
  <c r="F60"/>
  <c r="J11"/>
  <c r="I27"/>
  <c r="J27" s="1"/>
  <c r="D31"/>
  <c r="I31" s="1"/>
  <c r="J31" s="1"/>
  <c r="I19"/>
  <c r="J19" s="1"/>
  <c r="F28"/>
  <c r="F27"/>
  <c r="D30" s="1"/>
  <c r="F20"/>
  <c r="D23" s="1"/>
  <c r="F23" s="1"/>
  <c r="F19"/>
  <c r="I3"/>
  <c r="J3" s="1"/>
  <c r="D15"/>
  <c r="F15" s="1"/>
  <c r="F12"/>
  <c r="F11"/>
  <c r="D14" s="1"/>
  <c r="D7"/>
  <c r="I7" s="1"/>
  <c r="J7" s="1"/>
  <c r="I6"/>
  <c r="F4"/>
  <c r="F3"/>
  <c r="F14" l="1"/>
  <c r="K13" s="1"/>
  <c r="I14"/>
  <c r="F30"/>
  <c r="I30"/>
  <c r="F6"/>
  <c r="F7"/>
  <c r="F5"/>
  <c r="F31"/>
  <c r="K29" s="1"/>
  <c r="J58"/>
  <c r="J62" s="1"/>
  <c r="I62"/>
  <c r="I15"/>
  <c r="J15" s="1"/>
  <c r="I23"/>
  <c r="F29"/>
  <c r="F21"/>
  <c r="D22"/>
  <c r="I22" s="1"/>
  <c r="F13"/>
  <c r="K5" l="1"/>
  <c r="I32"/>
  <c r="J30"/>
  <c r="J32" s="1"/>
  <c r="F22"/>
  <c r="K21" s="1"/>
  <c r="J22"/>
  <c r="J14"/>
  <c r="J16" s="1"/>
  <c r="I16"/>
  <c r="J6"/>
  <c r="J8" s="1"/>
  <c r="I8"/>
  <c r="J23"/>
  <c r="J24" l="1"/>
  <c r="I24"/>
</calcChain>
</file>

<file path=xl/sharedStrings.xml><?xml version="1.0" encoding="utf-8"?>
<sst xmlns="http://schemas.openxmlformats.org/spreadsheetml/2006/main" count="186" uniqueCount="39">
  <si>
    <t>Echelon 4SC</t>
  </si>
  <si>
    <t>Prodiamine 4SC Select</t>
  </si>
  <si>
    <t>Sulfentrazone 4L Select</t>
  </si>
  <si>
    <t>Product</t>
  </si>
  <si>
    <t># of AI Per Gallon</t>
  </si>
  <si>
    <t>Rate per Acre</t>
  </si>
  <si>
    <t>Percentage AI</t>
  </si>
  <si>
    <t>Blindside</t>
  </si>
  <si>
    <t>Rometsol</t>
  </si>
  <si>
    <t># of AI Per Gal/#</t>
  </si>
  <si>
    <t>Pounds AI per Acre</t>
  </si>
  <si>
    <t>Cost per Acre</t>
  </si>
  <si>
    <t>Solitare</t>
  </si>
  <si>
    <t>Quinclorac 1.5L Select</t>
  </si>
  <si>
    <t>Quinclorac 75DF Select</t>
  </si>
  <si>
    <t>Q4 Plus</t>
  </si>
  <si>
    <t>Triad Select</t>
  </si>
  <si>
    <t>Q4 Plus Quinclorac</t>
  </si>
  <si>
    <t>Q4 Plus Sulfentrazone</t>
  </si>
  <si>
    <t>Q4 Plus 2,4-D</t>
  </si>
  <si>
    <t>Q4 Plus Dicamba</t>
  </si>
  <si>
    <t>Triad Select 2,4-D</t>
  </si>
  <si>
    <t>Triad Select MCPA</t>
  </si>
  <si>
    <t>Triad Select Dicamba</t>
  </si>
  <si>
    <t>Cost per 1,000 sq.ft.</t>
  </si>
  <si>
    <t>Units</t>
  </si>
  <si>
    <t>← Pints</t>
  </si>
  <si>
    <t>← Fluid Ounces</t>
  </si>
  <si>
    <t>← Dry Ounces</t>
  </si>
  <si>
    <r>
      <t xml:space="preserve">                 Total Cost </t>
    </r>
    <r>
      <rPr>
        <b/>
        <sz val="11"/>
        <color theme="1"/>
        <rFont val="Calibri"/>
        <family val="2"/>
      </rPr>
      <t>→</t>
    </r>
  </si>
  <si>
    <t>Price</t>
  </si>
  <si>
    <t>← Price per Gallon</t>
  </si>
  <si>
    <t>← Price per 64oz Jug</t>
  </si>
  <si>
    <t>← Price per 0.5# Bottle</t>
  </si>
  <si>
    <t>← Price per Ounce</t>
  </si>
  <si>
    <t>← Price per Pound</t>
  </si>
  <si>
    <t>Solitare WSL</t>
  </si>
  <si>
    <t>← Price per 96oz Jug</t>
  </si>
  <si>
    <t>← Quarts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</si>
</sst>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.000"/>
    <numFmt numFmtId="165" formatCode="0.0"/>
    <numFmt numFmtId="166" formatCode="_([$$-409]* #,##0.00_);_([$$-409]* \(#,##0.00\);_([$$-409]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/>
    <xf numFmtId="0" fontId="3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6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9" xfId="0" applyFont="1" applyBorder="1"/>
    <xf numFmtId="164" fontId="0" fillId="0" borderId="9" xfId="0" applyNumberFormat="1" applyBorder="1" applyAlignment="1">
      <alignment horizontal="center"/>
    </xf>
    <xf numFmtId="166" fontId="2" fillId="3" borderId="9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8" xfId="0" applyFont="1" applyBorder="1"/>
    <xf numFmtId="0" fontId="3" fillId="2" borderId="14" xfId="0" applyFont="1" applyFill="1" applyBorder="1" applyAlignment="1">
      <alignment horizontal="center"/>
    </xf>
    <xf numFmtId="0" fontId="0" fillId="0" borderId="0" xfId="0" applyProtection="1">
      <protection locked="0"/>
    </xf>
    <xf numFmtId="164" fontId="0" fillId="3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6" fontId="4" fillId="3" borderId="1" xfId="0" applyNumberFormat="1" applyFont="1" applyFill="1" applyBorder="1" applyAlignment="1" applyProtection="1">
      <alignment horizontal="left"/>
      <protection locked="0"/>
    </xf>
    <xf numFmtId="165" fontId="2" fillId="4" borderId="1" xfId="0" applyNumberFormat="1" applyFont="1" applyFill="1" applyBorder="1" applyAlignment="1">
      <alignment horizontal="center"/>
    </xf>
    <xf numFmtId="165" fontId="2" fillId="4" borderId="9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4" fontId="2" fillId="4" borderId="1" xfId="1" applyFont="1" applyFill="1" applyBorder="1" applyAlignment="1">
      <alignment horizontal="center"/>
    </xf>
    <xf numFmtId="166" fontId="2" fillId="4" borderId="7" xfId="0" applyNumberFormat="1" applyFont="1" applyFill="1" applyBorder="1" applyAlignment="1">
      <alignment horizontal="center"/>
    </xf>
    <xf numFmtId="166" fontId="2" fillId="4" borderId="11" xfId="0" applyNumberFormat="1" applyFont="1" applyFill="1" applyBorder="1" applyAlignment="1">
      <alignment horizontal="center"/>
    </xf>
    <xf numFmtId="166" fontId="2" fillId="4" borderId="12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2" fillId="5" borderId="1" xfId="0" applyFont="1" applyFill="1" applyBorder="1"/>
    <xf numFmtId="0" fontId="3" fillId="2" borderId="4" xfId="0" applyFont="1" applyFill="1" applyBorder="1"/>
    <xf numFmtId="2" fontId="0" fillId="0" borderId="1" xfId="0" applyNumberFormat="1" applyBorder="1" applyAlignment="1">
      <alignment horizontal="center"/>
    </xf>
    <xf numFmtId="166" fontId="4" fillId="3" borderId="9" xfId="0" applyNumberFormat="1" applyFont="1" applyFill="1" applyBorder="1" applyAlignment="1" applyProtection="1">
      <alignment horizontal="left"/>
      <protection locked="0"/>
    </xf>
    <xf numFmtId="0" fontId="0" fillId="0" borderId="15" xfId="0" applyBorder="1"/>
    <xf numFmtId="0" fontId="0" fillId="0" borderId="15" xfId="0" applyBorder="1" applyAlignment="1">
      <alignment horizontal="center"/>
    </xf>
    <xf numFmtId="165" fontId="0" fillId="0" borderId="15" xfId="0" applyNumberFormat="1" applyBorder="1"/>
    <xf numFmtId="2" fontId="0" fillId="0" borderId="15" xfId="0" applyNumberFormat="1" applyBorder="1" applyAlignment="1">
      <alignment horizontal="center"/>
    </xf>
    <xf numFmtId="0" fontId="2" fillId="0" borderId="9" xfId="0" applyFont="1" applyBorder="1"/>
    <xf numFmtId="166" fontId="2" fillId="6" borderId="1" xfId="0" applyNumberFormat="1" applyFont="1" applyFill="1" applyBorder="1" applyAlignment="1" applyProtection="1">
      <alignment horizontal="center"/>
      <protection locked="0"/>
    </xf>
    <xf numFmtId="164" fontId="0" fillId="6" borderId="1" xfId="0" applyNumberFormat="1" applyFill="1" applyBorder="1" applyAlignment="1">
      <alignment horizontal="center"/>
    </xf>
    <xf numFmtId="166" fontId="2" fillId="6" borderId="9" xfId="0" applyNumberFormat="1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708660</xdr:colOff>
      <xdr:row>0</xdr:row>
      <xdr:rowOff>228600</xdr:rowOff>
    </xdr:from>
    <xdr:to>
      <xdr:col>4</xdr:col>
      <xdr:colOff>1015701</xdr:colOff>
      <xdr:row>0</xdr:row>
      <xdr:rowOff>1059180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CA526B0-BC4E-418D-9DC5-A744DBCD5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8660" y="228600"/>
          <a:ext cx="2882601" cy="830580"/>
        </a:xfrm>
        <a:prstGeom prst="rect">
          <a:avLst/>
        </a:prstGeom>
      </xdr:spPr>
    </xdr:pic>
    <xdr:clientData/>
  </xdr:twoCellAnchor>
  <xdr:twoCellAnchor editAs="oneCell">
    <xdr:from>
      <xdr:col>6</xdr:col>
      <xdr:colOff>1181100</xdr:colOff>
      <xdr:row>0</xdr:row>
      <xdr:rowOff>169095</xdr:rowOff>
    </xdr:from>
    <xdr:to>
      <xdr:col>9</xdr:col>
      <xdr:colOff>176731</xdr:colOff>
      <xdr:row>0</xdr:row>
      <xdr:rowOff>1019175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23BA853E-1FFA-4FAE-B833-309AEBEBF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57750" y="169095"/>
          <a:ext cx="2967556" cy="85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>
      <pane ySplit="1" topLeftCell="A2" activePane="bottomLeft" state="frozen"/>
      <selection pane="bottomLeft" activeCell="G3" sqref="G3"/>
    </sheetView>
  </sheetViews>
  <sheetFormatPr defaultRowHeight="15"/>
  <cols>
    <col min="1" max="1" width="21.140625" customWidth="1"/>
    <col min="2" max="3" width="16.28515625" hidden="1" customWidth="1"/>
    <col min="4" max="4" width="16.42578125" customWidth="1"/>
    <col min="5" max="5" width="17.5703125" customWidth="1"/>
    <col min="6" max="6" width="19.7109375" hidden="1" customWidth="1"/>
    <col min="7" max="7" width="19.140625" customWidth="1"/>
    <col min="8" max="8" width="21.7109375" customWidth="1"/>
    <col min="9" max="9" width="18.7109375" customWidth="1"/>
    <col min="10" max="10" width="17.7109375" customWidth="1"/>
    <col min="11" max="11" width="9.28515625" customWidth="1"/>
  </cols>
  <sheetData>
    <row r="1" spans="1:14" ht="91.9" customHeight="1" thickBot="1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4" ht="15.75">
      <c r="A2" s="21" t="s">
        <v>3</v>
      </c>
      <c r="B2" s="22" t="s">
        <v>4</v>
      </c>
      <c r="C2" s="22" t="s">
        <v>6</v>
      </c>
      <c r="D2" s="23" t="s">
        <v>5</v>
      </c>
      <c r="E2" s="22" t="s">
        <v>25</v>
      </c>
      <c r="F2" s="22" t="s">
        <v>10</v>
      </c>
      <c r="G2" s="9" t="s">
        <v>30</v>
      </c>
      <c r="H2" s="22" t="s">
        <v>25</v>
      </c>
      <c r="I2" s="24" t="s">
        <v>24</v>
      </c>
      <c r="J2" s="25" t="s">
        <v>11</v>
      </c>
    </row>
    <row r="3" spans="1:14">
      <c r="A3" s="54" t="s">
        <v>0</v>
      </c>
      <c r="B3" s="5">
        <v>4</v>
      </c>
      <c r="C3" s="5">
        <v>0.13600000000000001</v>
      </c>
      <c r="D3" s="67">
        <v>24</v>
      </c>
      <c r="E3" s="20" t="s">
        <v>27</v>
      </c>
      <c r="F3" s="5">
        <f>(D3/128)*B3*C3</f>
        <v>0.10200000000000001</v>
      </c>
      <c r="G3" s="64">
        <v>282</v>
      </c>
      <c r="H3" s="44" t="s">
        <v>31</v>
      </c>
      <c r="I3" s="49">
        <f>(G3/128)*(D3)/43.56</f>
        <v>1.2138429752066116</v>
      </c>
      <c r="J3" s="50">
        <f>I3*43.56</f>
        <v>52.875</v>
      </c>
    </row>
    <row r="4" spans="1:14" ht="15" hidden="1" customHeight="1">
      <c r="A4" s="26" t="s">
        <v>0</v>
      </c>
      <c r="B4" s="5">
        <v>4</v>
      </c>
      <c r="C4" s="5">
        <v>0.27300000000000002</v>
      </c>
      <c r="D4" s="5"/>
      <c r="E4" s="2"/>
      <c r="F4" s="13">
        <f>(D3/128)*B4*C4</f>
        <v>0.20475000000000002</v>
      </c>
      <c r="G4" s="65"/>
      <c r="H4" s="42"/>
      <c r="I4" s="5"/>
      <c r="J4" s="27"/>
    </row>
    <row r="5" spans="1:14" ht="14.45" hidden="1" customHeight="1">
      <c r="A5" s="26"/>
      <c r="B5" s="5"/>
      <c r="C5" s="5"/>
      <c r="D5" s="5"/>
      <c r="E5" s="2"/>
      <c r="F5" s="13">
        <f>SUM(F3:F4)</f>
        <v>0.30675000000000002</v>
      </c>
      <c r="G5" s="65"/>
      <c r="H5" s="42"/>
      <c r="I5" s="5"/>
      <c r="J5" s="27"/>
      <c r="K5" s="1">
        <f>F6+F7</f>
        <v>0.30659850000000005</v>
      </c>
    </row>
    <row r="6" spans="1:14">
      <c r="A6" s="38" t="s">
        <v>2</v>
      </c>
      <c r="B6" s="5">
        <v>4</v>
      </c>
      <c r="C6" s="5">
        <v>0.39600000000000002</v>
      </c>
      <c r="D6" s="45">
        <f>D3*0.343</f>
        <v>8.2320000000000011</v>
      </c>
      <c r="E6" s="20" t="s">
        <v>27</v>
      </c>
      <c r="F6" s="13">
        <f>(D6/128)*B6*C6</f>
        <v>0.10187100000000002</v>
      </c>
      <c r="G6" s="64">
        <v>300</v>
      </c>
      <c r="H6" s="44" t="s">
        <v>32</v>
      </c>
      <c r="I6" s="15">
        <f>(G6/64)*(D6/43.56)</f>
        <v>0.88584710743801653</v>
      </c>
      <c r="J6" s="28">
        <f>I6*43.56</f>
        <v>38.587500000000006</v>
      </c>
    </row>
    <row r="7" spans="1:14" ht="15.75" thickBot="1">
      <c r="A7" s="39" t="s">
        <v>1</v>
      </c>
      <c r="B7" s="29">
        <v>4</v>
      </c>
      <c r="C7" s="29">
        <v>0.40500000000000003</v>
      </c>
      <c r="D7" s="46">
        <f>D3*0.674</f>
        <v>16.176000000000002</v>
      </c>
      <c r="E7" s="30" t="s">
        <v>27</v>
      </c>
      <c r="F7" s="31">
        <f>(D7/128)*B7*C7</f>
        <v>0.20472750000000003</v>
      </c>
      <c r="G7" s="66">
        <v>93</v>
      </c>
      <c r="H7" s="58" t="s">
        <v>31</v>
      </c>
      <c r="I7" s="32">
        <f>(G7/128)*(D7/43.56)</f>
        <v>0.26980888429752065</v>
      </c>
      <c r="J7" s="33">
        <f>I7*43.56</f>
        <v>11.752875</v>
      </c>
      <c r="N7" s="41"/>
    </row>
    <row r="8" spans="1:14" ht="15.75" thickBot="1">
      <c r="B8" s="7"/>
      <c r="C8" s="7"/>
      <c r="D8" s="6"/>
      <c r="E8" s="6"/>
      <c r="F8" s="14"/>
      <c r="G8" s="16"/>
      <c r="H8" s="16" t="s">
        <v>29</v>
      </c>
      <c r="I8" s="51">
        <f>I6+I7</f>
        <v>1.1556559917355371</v>
      </c>
      <c r="J8" s="52">
        <f>J6+J7</f>
        <v>50.340375000000009</v>
      </c>
    </row>
    <row r="9" spans="1:14" ht="15.75" thickBot="1">
      <c r="B9" s="7"/>
      <c r="C9" s="7"/>
      <c r="D9" s="6"/>
      <c r="E9" s="6"/>
      <c r="F9" s="14"/>
      <c r="G9" s="14"/>
      <c r="H9" s="14"/>
      <c r="I9" s="17"/>
      <c r="J9" s="17"/>
    </row>
    <row r="10" spans="1:14" ht="15.75">
      <c r="A10" s="21" t="s">
        <v>3</v>
      </c>
      <c r="B10" s="22" t="s">
        <v>9</v>
      </c>
      <c r="C10" s="22" t="s">
        <v>6</v>
      </c>
      <c r="D10" s="22" t="s">
        <v>5</v>
      </c>
      <c r="E10" s="24" t="s">
        <v>25</v>
      </c>
      <c r="F10" s="22" t="s">
        <v>10</v>
      </c>
      <c r="G10" s="24" t="s">
        <v>30</v>
      </c>
      <c r="H10" s="22" t="s">
        <v>25</v>
      </c>
      <c r="I10" s="24" t="s">
        <v>24</v>
      </c>
      <c r="J10" s="25" t="s">
        <v>11</v>
      </c>
    </row>
    <row r="11" spans="1:14">
      <c r="A11" s="54" t="s">
        <v>7</v>
      </c>
      <c r="B11" s="5">
        <v>0.6</v>
      </c>
      <c r="C11" s="5">
        <v>0.6</v>
      </c>
      <c r="D11" s="67">
        <v>8</v>
      </c>
      <c r="E11" s="20" t="s">
        <v>28</v>
      </c>
      <c r="F11" s="5">
        <f>D11/16*B11</f>
        <v>0.3</v>
      </c>
      <c r="G11" s="64">
        <v>103</v>
      </c>
      <c r="H11" s="44" t="s">
        <v>33</v>
      </c>
      <c r="I11" s="53">
        <f>(G11/8)*(D11/43.56)</f>
        <v>2.36455463728191</v>
      </c>
      <c r="J11" s="50">
        <f>I11*43.56</f>
        <v>103</v>
      </c>
    </row>
    <row r="12" spans="1:14" ht="15" hidden="1" customHeight="1">
      <c r="A12" s="26" t="s">
        <v>7</v>
      </c>
      <c r="B12" s="5">
        <v>0.06</v>
      </c>
      <c r="C12" s="5">
        <v>0.06</v>
      </c>
      <c r="D12" s="5"/>
      <c r="E12" s="2"/>
      <c r="F12" s="5">
        <f>D11/16*B12</f>
        <v>0.03</v>
      </c>
      <c r="G12" s="68"/>
      <c r="H12" s="43"/>
      <c r="I12" s="18"/>
      <c r="J12" s="34"/>
    </row>
    <row r="13" spans="1:14" ht="14.45" hidden="1" customHeight="1">
      <c r="A13" s="26"/>
      <c r="B13" s="5"/>
      <c r="C13" s="5"/>
      <c r="D13" s="5"/>
      <c r="E13" s="2"/>
      <c r="F13" s="5">
        <f>SUM(F11:F12)</f>
        <v>0.32999999999999996</v>
      </c>
      <c r="G13" s="68"/>
      <c r="H13" s="43"/>
      <c r="I13" s="18"/>
      <c r="J13" s="34"/>
      <c r="K13">
        <f>F14+F15</f>
        <v>0.32999999999999996</v>
      </c>
    </row>
    <row r="14" spans="1:14">
      <c r="A14" s="38" t="s">
        <v>2</v>
      </c>
      <c r="B14" s="5">
        <v>4</v>
      </c>
      <c r="C14" s="5">
        <v>0.39600000000000002</v>
      </c>
      <c r="D14" s="47">
        <f>F11/0.03125</f>
        <v>9.6</v>
      </c>
      <c r="E14" s="20" t="s">
        <v>27</v>
      </c>
      <c r="F14" s="5">
        <f>D14*0.03125</f>
        <v>0.3</v>
      </c>
      <c r="G14" s="64">
        <v>555</v>
      </c>
      <c r="H14" s="44" t="s">
        <v>32</v>
      </c>
      <c r="I14" s="19">
        <f>(G14/64)*(D14/43.56)</f>
        <v>1.9111570247933882</v>
      </c>
      <c r="J14" s="35">
        <f>I14*43.56</f>
        <v>83.25</v>
      </c>
    </row>
    <row r="15" spans="1:14" ht="15.75" thickBot="1">
      <c r="A15" s="39" t="s">
        <v>8</v>
      </c>
      <c r="B15" s="29">
        <v>0.6</v>
      </c>
      <c r="C15" s="29">
        <v>0.6</v>
      </c>
      <c r="D15" s="48">
        <f>D11*0.1</f>
        <v>0.8</v>
      </c>
      <c r="E15" s="30" t="s">
        <v>28</v>
      </c>
      <c r="F15" s="29">
        <f>D15/16*B15</f>
        <v>0.03</v>
      </c>
      <c r="G15" s="66">
        <v>5.83</v>
      </c>
      <c r="H15" s="58" t="s">
        <v>34</v>
      </c>
      <c r="I15" s="36">
        <f>(G15*D15)/43.56</f>
        <v>0.10707070707070708</v>
      </c>
      <c r="J15" s="37">
        <f>I15*43.56</f>
        <v>4.6640000000000006</v>
      </c>
    </row>
    <row r="16" spans="1:14" ht="15.75" thickBot="1">
      <c r="B16" s="7"/>
      <c r="C16" s="7"/>
      <c r="D16" s="7"/>
      <c r="E16" s="7"/>
      <c r="F16" s="7"/>
      <c r="G16" s="16"/>
      <c r="H16" s="16" t="s">
        <v>29</v>
      </c>
      <c r="I16" s="51">
        <f>SUM(I14:I15)</f>
        <v>2.0182277318640951</v>
      </c>
      <c r="J16" s="52">
        <f>SUM(J14:J15)</f>
        <v>87.914000000000001</v>
      </c>
    </row>
    <row r="17" spans="1:11" ht="15.75" thickBot="1">
      <c r="B17" s="7"/>
      <c r="C17" s="7"/>
      <c r="D17" s="7"/>
      <c r="E17" s="7"/>
      <c r="F17" s="7"/>
      <c r="G17" s="7"/>
      <c r="H17" s="7"/>
      <c r="I17" s="7"/>
      <c r="J17" s="7"/>
    </row>
    <row r="18" spans="1:11" ht="15.75">
      <c r="A18" s="21" t="s">
        <v>3</v>
      </c>
      <c r="B18" s="22" t="s">
        <v>9</v>
      </c>
      <c r="C18" s="22" t="s">
        <v>6</v>
      </c>
      <c r="D18" s="22" t="s">
        <v>5</v>
      </c>
      <c r="E18" s="24" t="s">
        <v>25</v>
      </c>
      <c r="F18" s="22" t="s">
        <v>10</v>
      </c>
      <c r="G18" s="24" t="s">
        <v>30</v>
      </c>
      <c r="H18" s="22" t="s">
        <v>25</v>
      </c>
      <c r="I18" s="24" t="s">
        <v>24</v>
      </c>
      <c r="J18" s="40" t="s">
        <v>11</v>
      </c>
    </row>
    <row r="19" spans="1:11">
      <c r="A19" s="54" t="s">
        <v>12</v>
      </c>
      <c r="B19" s="5">
        <v>0.1875</v>
      </c>
      <c r="C19" s="5">
        <v>0.1875</v>
      </c>
      <c r="D19" s="67">
        <v>16</v>
      </c>
      <c r="E19" s="20" t="s">
        <v>28</v>
      </c>
      <c r="F19" s="5">
        <f>D19/16*B19</f>
        <v>0.1875</v>
      </c>
      <c r="G19" s="64">
        <v>138.6</v>
      </c>
      <c r="H19" s="44" t="s">
        <v>35</v>
      </c>
      <c r="I19" s="53">
        <f>(G19/16)*(D19/43.56)</f>
        <v>3.1818181818181817</v>
      </c>
      <c r="J19" s="50">
        <f>I19*43.56</f>
        <v>138.6</v>
      </c>
    </row>
    <row r="20" spans="1:11" ht="14.45" hidden="1" customHeight="1">
      <c r="A20" s="26" t="s">
        <v>12</v>
      </c>
      <c r="B20" s="5">
        <v>0.5625</v>
      </c>
      <c r="C20" s="5">
        <v>0.5625</v>
      </c>
      <c r="D20" s="5"/>
      <c r="E20" s="2"/>
      <c r="F20" s="5">
        <f>D19/16*B20</f>
        <v>0.5625</v>
      </c>
      <c r="G20" s="68"/>
      <c r="H20" s="43"/>
      <c r="I20" s="18"/>
      <c r="J20" s="34"/>
    </row>
    <row r="21" spans="1:11" ht="14.45" hidden="1" customHeight="1">
      <c r="A21" s="26"/>
      <c r="B21" s="5"/>
      <c r="C21" s="5"/>
      <c r="D21" s="5"/>
      <c r="E21" s="2"/>
      <c r="F21" s="5">
        <f>F19+F20</f>
        <v>0.75</v>
      </c>
      <c r="G21" s="68"/>
      <c r="H21" s="43"/>
      <c r="I21" s="18"/>
      <c r="J21" s="34"/>
      <c r="K21">
        <f>F22+F23</f>
        <v>0.75</v>
      </c>
    </row>
    <row r="22" spans="1:11">
      <c r="A22" s="38" t="s">
        <v>2</v>
      </c>
      <c r="B22" s="5">
        <v>4</v>
      </c>
      <c r="C22" s="5">
        <v>0.39600000000000002</v>
      </c>
      <c r="D22" s="45">
        <f>F19/0.03125</f>
        <v>6</v>
      </c>
      <c r="E22" s="20" t="s">
        <v>27</v>
      </c>
      <c r="F22" s="5">
        <f>(D22/128)*4</f>
        <v>0.1875</v>
      </c>
      <c r="G22" s="64">
        <v>300</v>
      </c>
      <c r="H22" s="44" t="s">
        <v>32</v>
      </c>
      <c r="I22" s="19">
        <f>(G22/64)*(D22/43.56)</f>
        <v>0.64566115702479343</v>
      </c>
      <c r="J22" s="35">
        <f>I22*43.56</f>
        <v>28.125000000000004</v>
      </c>
    </row>
    <row r="23" spans="1:11" ht="15.75" thickBot="1">
      <c r="A23" s="39" t="s">
        <v>13</v>
      </c>
      <c r="B23" s="29">
        <v>1.5</v>
      </c>
      <c r="C23" s="29">
        <v>0.18920000000000001</v>
      </c>
      <c r="D23" s="46">
        <f>F20/0.01171875</f>
        <v>48</v>
      </c>
      <c r="E23" s="30" t="s">
        <v>27</v>
      </c>
      <c r="F23" s="29">
        <f>(D23/128)*1.5</f>
        <v>0.5625</v>
      </c>
      <c r="G23" s="66">
        <v>62</v>
      </c>
      <c r="H23" s="58" t="s">
        <v>32</v>
      </c>
      <c r="I23" s="36">
        <f>(G23/64)*(D23/43.56)</f>
        <v>1.0674931129476584</v>
      </c>
      <c r="J23" s="37">
        <f>I23*43.56</f>
        <v>46.5</v>
      </c>
    </row>
    <row r="24" spans="1:11" ht="15.75" thickBot="1">
      <c r="B24" s="7"/>
      <c r="C24" s="7"/>
      <c r="D24" s="7"/>
      <c r="E24" s="7"/>
      <c r="F24" s="7"/>
      <c r="G24" s="16"/>
      <c r="H24" s="16" t="s">
        <v>29</v>
      </c>
      <c r="I24" s="51">
        <f>SUM(I22:I23)</f>
        <v>1.7131542699724518</v>
      </c>
      <c r="J24" s="52">
        <f>SUM(J22:J23)</f>
        <v>74.625</v>
      </c>
    </row>
    <row r="25" spans="1:11" ht="15.75" thickBot="1">
      <c r="B25" s="7"/>
      <c r="C25" s="7"/>
      <c r="D25" s="7"/>
      <c r="E25" s="7"/>
      <c r="F25" s="7"/>
      <c r="G25" s="7"/>
      <c r="H25" s="7"/>
      <c r="I25" s="7"/>
      <c r="J25" s="7"/>
    </row>
    <row r="26" spans="1:11" ht="15.75">
      <c r="A26" s="21" t="s">
        <v>3</v>
      </c>
      <c r="B26" s="22" t="s">
        <v>9</v>
      </c>
      <c r="C26" s="22" t="s">
        <v>6</v>
      </c>
      <c r="D26" s="22" t="s">
        <v>5</v>
      </c>
      <c r="E26" s="24" t="s">
        <v>25</v>
      </c>
      <c r="F26" s="22" t="s">
        <v>10</v>
      </c>
      <c r="G26" s="24" t="s">
        <v>30</v>
      </c>
      <c r="H26" s="22" t="s">
        <v>25</v>
      </c>
      <c r="I26" s="24" t="s">
        <v>24</v>
      </c>
      <c r="J26" s="40" t="s">
        <v>11</v>
      </c>
    </row>
    <row r="27" spans="1:11" ht="14.45" customHeight="1">
      <c r="A27" s="54" t="s">
        <v>12</v>
      </c>
      <c r="B27" s="5">
        <v>0.1875</v>
      </c>
      <c r="C27" s="5">
        <v>0.1875</v>
      </c>
      <c r="D27" s="67">
        <v>16</v>
      </c>
      <c r="E27" s="20" t="s">
        <v>28</v>
      </c>
      <c r="F27" s="5">
        <f>D27/16*B27</f>
        <v>0.1875</v>
      </c>
      <c r="G27" s="64">
        <v>110.25</v>
      </c>
      <c r="H27" s="44" t="s">
        <v>35</v>
      </c>
      <c r="I27" s="53">
        <f>(G27/16)*(D27/43.56)</f>
        <v>2.53099173553719</v>
      </c>
      <c r="J27" s="50">
        <f>I27*43.56</f>
        <v>110.25</v>
      </c>
    </row>
    <row r="28" spans="1:11" ht="13.9" hidden="1" customHeight="1">
      <c r="A28" s="26" t="s">
        <v>12</v>
      </c>
      <c r="B28" s="5">
        <v>0.5625</v>
      </c>
      <c r="C28" s="5">
        <v>0.5625</v>
      </c>
      <c r="D28" s="5"/>
      <c r="E28" s="12"/>
      <c r="F28" s="5">
        <f>D27/16*B28</f>
        <v>0.5625</v>
      </c>
      <c r="G28" s="68"/>
      <c r="H28" s="43"/>
      <c r="I28" s="18"/>
      <c r="J28" s="34"/>
    </row>
    <row r="29" spans="1:11" ht="13.9" hidden="1" customHeight="1">
      <c r="A29" s="26"/>
      <c r="B29" s="5"/>
      <c r="C29" s="5"/>
      <c r="D29" s="5"/>
      <c r="E29" s="12"/>
      <c r="F29" s="5">
        <f>F27+F28</f>
        <v>0.75</v>
      </c>
      <c r="G29" s="68"/>
      <c r="H29" s="43"/>
      <c r="I29" s="18"/>
      <c r="J29" s="34"/>
      <c r="K29">
        <f>F30+F31</f>
        <v>0.75</v>
      </c>
    </row>
    <row r="30" spans="1:11">
      <c r="A30" s="38" t="s">
        <v>2</v>
      </c>
      <c r="B30" s="5">
        <v>4</v>
      </c>
      <c r="C30" s="5">
        <v>0.39600000000000002</v>
      </c>
      <c r="D30" s="45">
        <f>F27/0.03125</f>
        <v>6</v>
      </c>
      <c r="E30" s="20" t="s">
        <v>27</v>
      </c>
      <c r="F30" s="5">
        <f>(D30/128)*4</f>
        <v>0.1875</v>
      </c>
      <c r="G30" s="64">
        <v>300</v>
      </c>
      <c r="H30" s="44" t="s">
        <v>32</v>
      </c>
      <c r="I30" s="15">
        <f>(G30/64)*(D30/43.56)</f>
        <v>0.64566115702479343</v>
      </c>
      <c r="J30" s="28">
        <f>I30*43.56</f>
        <v>28.125000000000004</v>
      </c>
    </row>
    <row r="31" spans="1:11" ht="15.75" thickBot="1">
      <c r="A31" s="39" t="s">
        <v>14</v>
      </c>
      <c r="B31" s="29">
        <v>0.75</v>
      </c>
      <c r="C31" s="29">
        <v>0.75</v>
      </c>
      <c r="D31" s="46">
        <f>D27*0.75</f>
        <v>12</v>
      </c>
      <c r="E31" s="30" t="s">
        <v>28</v>
      </c>
      <c r="F31" s="29">
        <f>(D31/16)*0.75</f>
        <v>0.5625</v>
      </c>
      <c r="G31" s="66">
        <v>45</v>
      </c>
      <c r="H31" s="58" t="s">
        <v>35</v>
      </c>
      <c r="I31" s="32">
        <f>(G31/16)*(D31/43.56)</f>
        <v>0.77479338842975209</v>
      </c>
      <c r="J31" s="33">
        <f>I31*43.56</f>
        <v>33.75</v>
      </c>
    </row>
    <row r="32" spans="1:11" ht="15.75" thickBot="1">
      <c r="B32" s="7"/>
      <c r="C32" s="7"/>
      <c r="F32" s="7"/>
      <c r="G32" s="16"/>
      <c r="H32" s="16" t="s">
        <v>29</v>
      </c>
      <c r="I32" s="51">
        <f>SUM(I30:I31)</f>
        <v>1.4204545454545454</v>
      </c>
      <c r="J32" s="52">
        <f>SUM(J30:J31)</f>
        <v>61.875</v>
      </c>
    </row>
    <row r="33" spans="1:10" ht="15.75" thickBot="1">
      <c r="B33" s="7"/>
      <c r="C33" s="7"/>
      <c r="F33" s="7"/>
      <c r="G33" s="7"/>
      <c r="H33" s="7"/>
      <c r="I33" s="7"/>
      <c r="J33" s="7"/>
    </row>
    <row r="34" spans="1:10" ht="15.75">
      <c r="A34" s="21" t="s">
        <v>3</v>
      </c>
      <c r="B34" s="22" t="s">
        <v>9</v>
      </c>
      <c r="C34" s="22" t="s">
        <v>6</v>
      </c>
      <c r="D34" s="22" t="s">
        <v>5</v>
      </c>
      <c r="E34" s="24" t="s">
        <v>25</v>
      </c>
      <c r="F34" s="22" t="s">
        <v>10</v>
      </c>
      <c r="G34" s="24" t="s">
        <v>30</v>
      </c>
      <c r="H34" s="22" t="s">
        <v>25</v>
      </c>
      <c r="I34" s="24" t="s">
        <v>24</v>
      </c>
      <c r="J34" s="40" t="s">
        <v>11</v>
      </c>
    </row>
    <row r="35" spans="1:10">
      <c r="A35" s="54" t="s">
        <v>36</v>
      </c>
      <c r="B35" s="5">
        <v>0.14000000000000001</v>
      </c>
      <c r="C35" s="5">
        <v>1.6E-2</v>
      </c>
      <c r="D35" s="67">
        <v>5.4</v>
      </c>
      <c r="E35" s="20" t="s">
        <v>38</v>
      </c>
      <c r="F35" s="5">
        <f>(D35*32)/128*B35</f>
        <v>0.18900000000000003</v>
      </c>
      <c r="G35" s="64">
        <v>84.15</v>
      </c>
      <c r="H35" s="44" t="s">
        <v>37</v>
      </c>
      <c r="I35" s="53">
        <f>(G35/96)*(D35*32)/43.56</f>
        <v>3.4772727272727275</v>
      </c>
      <c r="J35" s="50">
        <f>I35*43.56</f>
        <v>151.47000000000003</v>
      </c>
    </row>
    <row r="36" spans="1:10" hidden="1">
      <c r="A36" s="26" t="s">
        <v>12</v>
      </c>
      <c r="B36" s="5">
        <v>0.43</v>
      </c>
      <c r="C36" s="5">
        <v>0.05</v>
      </c>
      <c r="D36" s="5"/>
      <c r="E36" s="2"/>
      <c r="F36" s="5">
        <f>(D35*32)/128*B36</f>
        <v>0.58050000000000002</v>
      </c>
      <c r="G36" s="68"/>
      <c r="H36" s="43"/>
      <c r="I36" s="18"/>
      <c r="J36" s="34"/>
    </row>
    <row r="37" spans="1:10" hidden="1">
      <c r="A37" s="26"/>
      <c r="B37" s="5"/>
      <c r="C37" s="5"/>
      <c r="D37" s="5"/>
      <c r="E37" s="2"/>
      <c r="F37" s="5">
        <f>F35+F36</f>
        <v>0.76950000000000007</v>
      </c>
      <c r="G37" s="68"/>
      <c r="H37" s="43"/>
      <c r="I37" s="18"/>
      <c r="J37" s="34"/>
    </row>
    <row r="38" spans="1:10">
      <c r="A38" s="38" t="s">
        <v>2</v>
      </c>
      <c r="B38" s="5">
        <v>4</v>
      </c>
      <c r="C38" s="5">
        <v>0.39600000000000002</v>
      </c>
      <c r="D38" s="45">
        <f>F35/0.03125</f>
        <v>6.0480000000000009</v>
      </c>
      <c r="E38" s="20" t="s">
        <v>27</v>
      </c>
      <c r="F38" s="5">
        <f>(D38/128)*4</f>
        <v>0.18900000000000003</v>
      </c>
      <c r="G38" s="64">
        <v>300</v>
      </c>
      <c r="H38" s="44" t="s">
        <v>32</v>
      </c>
      <c r="I38" s="19">
        <f>(G38/64)*(D38/43.56)</f>
        <v>0.65082644628099184</v>
      </c>
      <c r="J38" s="35">
        <f>I38*43.56</f>
        <v>28.350000000000005</v>
      </c>
    </row>
    <row r="39" spans="1:10" ht="15.6" customHeight="1" thickBot="1">
      <c r="A39" s="39" t="s">
        <v>13</v>
      </c>
      <c r="B39" s="29">
        <v>1.5</v>
      </c>
      <c r="C39" s="29">
        <v>0.18920000000000001</v>
      </c>
      <c r="D39" s="46">
        <f>F36/0.01171875</f>
        <v>49.536000000000001</v>
      </c>
      <c r="E39" s="30" t="s">
        <v>27</v>
      </c>
      <c r="F39" s="29">
        <f>(D39/128)*1.5</f>
        <v>0.58050000000000002</v>
      </c>
      <c r="G39" s="66">
        <v>62</v>
      </c>
      <c r="H39" s="58" t="s">
        <v>32</v>
      </c>
      <c r="I39" s="36">
        <f>(G39/64)*(D39/43.56)</f>
        <v>1.1016528925619835</v>
      </c>
      <c r="J39" s="37">
        <f>I39*43.56</f>
        <v>47.988000000000007</v>
      </c>
    </row>
    <row r="40" spans="1:10" ht="15.6" customHeight="1" thickBot="1">
      <c r="B40" s="7"/>
      <c r="C40" s="7"/>
      <c r="D40" s="7"/>
      <c r="E40" s="7"/>
      <c r="F40" s="7"/>
      <c r="G40" s="16"/>
      <c r="H40" s="16" t="s">
        <v>29</v>
      </c>
      <c r="I40" s="51">
        <f>SUM(I38:I39)</f>
        <v>1.7524793388429754</v>
      </c>
      <c r="J40" s="52">
        <f>SUM(J38:J39)</f>
        <v>76.338000000000008</v>
      </c>
    </row>
    <row r="41" spans="1:10" ht="12" customHeight="1" thickBot="1">
      <c r="B41" s="7"/>
      <c r="C41" s="7"/>
      <c r="D41" s="7"/>
      <c r="E41" s="7"/>
      <c r="F41" s="7"/>
      <c r="G41" s="7"/>
      <c r="H41" s="7"/>
      <c r="I41" s="7"/>
      <c r="J41" s="7"/>
    </row>
    <row r="42" spans="1:10" ht="15.6" customHeight="1">
      <c r="A42" s="21" t="s">
        <v>3</v>
      </c>
      <c r="B42" s="22" t="s">
        <v>9</v>
      </c>
      <c r="C42" s="22" t="s">
        <v>6</v>
      </c>
      <c r="D42" s="22" t="s">
        <v>5</v>
      </c>
      <c r="E42" s="24" t="s">
        <v>25</v>
      </c>
      <c r="F42" s="22" t="s">
        <v>10</v>
      </c>
      <c r="G42" s="24" t="s">
        <v>30</v>
      </c>
      <c r="H42" s="22" t="s">
        <v>25</v>
      </c>
      <c r="I42" s="24" t="s">
        <v>24</v>
      </c>
      <c r="J42" s="40" t="s">
        <v>11</v>
      </c>
    </row>
    <row r="43" spans="1:10" ht="15.6" customHeight="1">
      <c r="A43" s="54" t="s">
        <v>36</v>
      </c>
      <c r="B43" s="5">
        <v>0.14000000000000001</v>
      </c>
      <c r="C43" s="5">
        <v>1.6E-2</v>
      </c>
      <c r="D43" s="67">
        <v>5.4</v>
      </c>
      <c r="E43" s="20" t="s">
        <v>38</v>
      </c>
      <c r="F43" s="5">
        <f>(D43*32)/128*B43</f>
        <v>0.18900000000000003</v>
      </c>
      <c r="G43" s="64">
        <v>84.15</v>
      </c>
      <c r="H43" s="44" t="s">
        <v>37</v>
      </c>
      <c r="I43" s="53">
        <f>(G43/96)*(D43*32)/43.56</f>
        <v>3.4772727272727275</v>
      </c>
      <c r="J43" s="50">
        <f>I43*43.56</f>
        <v>151.47000000000003</v>
      </c>
    </row>
    <row r="44" spans="1:10" hidden="1">
      <c r="A44" s="26" t="s">
        <v>12</v>
      </c>
      <c r="B44" s="5">
        <v>0.43</v>
      </c>
      <c r="C44" s="5">
        <v>0.05</v>
      </c>
      <c r="D44" s="5"/>
      <c r="E44" s="12"/>
      <c r="F44" s="5">
        <f>(D43*32)/128*B44</f>
        <v>0.58050000000000002</v>
      </c>
      <c r="G44" s="68"/>
      <c r="H44" s="43"/>
      <c r="I44" s="18"/>
      <c r="J44" s="34"/>
    </row>
    <row r="45" spans="1:10" hidden="1">
      <c r="A45" s="26"/>
      <c r="B45" s="5"/>
      <c r="C45" s="5"/>
      <c r="D45" s="5"/>
      <c r="E45" s="12"/>
      <c r="F45" s="5">
        <f>F43+F44</f>
        <v>0.76950000000000007</v>
      </c>
      <c r="G45" s="68"/>
      <c r="H45" s="43"/>
      <c r="I45" s="18"/>
      <c r="J45" s="34"/>
    </row>
    <row r="46" spans="1:10" ht="14.45" customHeight="1">
      <c r="A46" s="38" t="s">
        <v>2</v>
      </c>
      <c r="B46" s="5">
        <v>4</v>
      </c>
      <c r="C46" s="5">
        <v>0.39600000000000002</v>
      </c>
      <c r="D46" s="45">
        <f>F43/0.03125</f>
        <v>6.0480000000000009</v>
      </c>
      <c r="E46" s="20" t="s">
        <v>27</v>
      </c>
      <c r="F46" s="5">
        <f>(D46/128)*4</f>
        <v>0.18900000000000003</v>
      </c>
      <c r="G46" s="64">
        <v>300</v>
      </c>
      <c r="H46" s="44" t="s">
        <v>32</v>
      </c>
      <c r="I46" s="15">
        <f>(G46/64)*(D46/43.56)</f>
        <v>0.65082644628099184</v>
      </c>
      <c r="J46" s="28">
        <f>I46*43.56</f>
        <v>28.350000000000005</v>
      </c>
    </row>
    <row r="47" spans="1:10" ht="16.899999999999999" customHeight="1" thickBot="1">
      <c r="A47" s="39" t="s">
        <v>14</v>
      </c>
      <c r="B47" s="29">
        <v>0.75</v>
      </c>
      <c r="C47" s="29">
        <v>0.75</v>
      </c>
      <c r="D47" s="46">
        <f>F44/(0.75/16)</f>
        <v>12.384</v>
      </c>
      <c r="E47" s="30" t="s">
        <v>28</v>
      </c>
      <c r="F47" s="29">
        <f>(D47/16)*0.75</f>
        <v>0.58050000000000002</v>
      </c>
      <c r="G47" s="66">
        <v>45</v>
      </c>
      <c r="H47" s="58" t="s">
        <v>35</v>
      </c>
      <c r="I47" s="32">
        <f>(G47/16)*(D47/43.56)</f>
        <v>0.79958677685950419</v>
      </c>
      <c r="J47" s="33">
        <f>I47*43.56</f>
        <v>34.830000000000005</v>
      </c>
    </row>
    <row r="48" spans="1:10" ht="17.45" customHeight="1" thickBot="1">
      <c r="B48" s="7"/>
      <c r="C48" s="7"/>
      <c r="F48" s="7"/>
      <c r="G48" s="16"/>
      <c r="H48" s="16" t="s">
        <v>29</v>
      </c>
      <c r="I48" s="51">
        <f>SUM(I46:I47)</f>
        <v>1.450413223140496</v>
      </c>
      <c r="J48" s="52">
        <f>SUM(J46:J47)</f>
        <v>63.180000000000007</v>
      </c>
    </row>
    <row r="49" spans="1:13" ht="15.75" thickBot="1">
      <c r="B49" s="7"/>
      <c r="C49" s="7"/>
      <c r="F49" s="7"/>
      <c r="G49" s="7"/>
      <c r="H49" s="7"/>
      <c r="I49" s="7"/>
      <c r="J49" s="7"/>
    </row>
    <row r="50" spans="1:13" ht="15.75">
      <c r="A50" s="56" t="s">
        <v>3</v>
      </c>
      <c r="B50" s="24" t="s">
        <v>9</v>
      </c>
      <c r="C50" s="24" t="s">
        <v>6</v>
      </c>
      <c r="D50" s="24" t="s">
        <v>5</v>
      </c>
      <c r="E50" s="24" t="s">
        <v>25</v>
      </c>
      <c r="F50" s="24" t="s">
        <v>10</v>
      </c>
      <c r="G50" s="24" t="s">
        <v>30</v>
      </c>
      <c r="H50" s="24" t="s">
        <v>25</v>
      </c>
      <c r="I50" s="24" t="s">
        <v>24</v>
      </c>
      <c r="J50" s="24" t="s">
        <v>11</v>
      </c>
    </row>
    <row r="51" spans="1:13">
      <c r="A51" s="55" t="s">
        <v>15</v>
      </c>
      <c r="B51" s="10"/>
      <c r="C51" s="10"/>
      <c r="D51" s="67">
        <v>5</v>
      </c>
      <c r="E51" s="20" t="s">
        <v>26</v>
      </c>
      <c r="F51" s="10"/>
      <c r="G51" s="64">
        <v>141</v>
      </c>
      <c r="H51" s="44" t="s">
        <v>31</v>
      </c>
      <c r="I51" s="53">
        <f>(G51/128)*(D51*16)/43.56</f>
        <v>2.0230716253443526</v>
      </c>
      <c r="J51" s="53">
        <f>I51*43.56</f>
        <v>88.125</v>
      </c>
    </row>
    <row r="52" spans="1:13" ht="15" hidden="1" customHeight="1">
      <c r="A52" s="2" t="s">
        <v>17</v>
      </c>
      <c r="B52" s="5">
        <v>0.75</v>
      </c>
      <c r="C52" s="5">
        <v>8.43E-2</v>
      </c>
      <c r="D52" s="2"/>
      <c r="E52" s="11"/>
      <c r="F52" s="5">
        <f>D51/8*B52</f>
        <v>0.46875</v>
      </c>
      <c r="G52" s="69"/>
      <c r="H52" s="12"/>
      <c r="I52" s="5"/>
      <c r="J52" s="15">
        <f t="shared" ref="J52:J58" si="0">I52*43.56</f>
        <v>0</v>
      </c>
    </row>
    <row r="53" spans="1:13" ht="14.45" hidden="1" customHeight="1">
      <c r="A53" s="2" t="s">
        <v>18</v>
      </c>
      <c r="B53" s="5">
        <v>0.06</v>
      </c>
      <c r="C53" s="5">
        <v>6.8999999999999999E-3</v>
      </c>
      <c r="D53" s="2"/>
      <c r="E53" s="11"/>
      <c r="F53" s="5">
        <f>D51/8*B53</f>
        <v>3.7499999999999999E-2</v>
      </c>
      <c r="G53" s="69"/>
      <c r="H53" s="12"/>
      <c r="I53" s="5"/>
      <c r="J53" s="15">
        <f t="shared" si="0"/>
        <v>0</v>
      </c>
    </row>
    <row r="54" spans="1:13" ht="14.45" hidden="1" customHeight="1">
      <c r="A54" s="2" t="s">
        <v>19</v>
      </c>
      <c r="B54" s="5">
        <v>0.88</v>
      </c>
      <c r="C54" s="5">
        <v>11.81</v>
      </c>
      <c r="D54" s="2"/>
      <c r="E54" s="11"/>
      <c r="F54" s="5">
        <f>D51/8*B54</f>
        <v>0.55000000000000004</v>
      </c>
      <c r="G54" s="69"/>
      <c r="H54" s="12"/>
      <c r="I54" s="5"/>
      <c r="J54" s="15">
        <f t="shared" si="0"/>
        <v>0</v>
      </c>
    </row>
    <row r="55" spans="1:13" ht="13.9" hidden="1" customHeight="1">
      <c r="A55" s="2" t="s">
        <v>20</v>
      </c>
      <c r="B55" s="5">
        <v>0.1</v>
      </c>
      <c r="C55" s="5">
        <v>1.49E-2</v>
      </c>
      <c r="D55" s="2"/>
      <c r="E55" s="11"/>
      <c r="F55" s="5">
        <f>D51/8*B55</f>
        <v>6.25E-2</v>
      </c>
      <c r="G55" s="69"/>
      <c r="H55" s="12"/>
      <c r="I55" s="5"/>
      <c r="J55" s="15">
        <f t="shared" si="0"/>
        <v>0</v>
      </c>
    </row>
    <row r="56" spans="1:13">
      <c r="A56" s="3" t="s">
        <v>13</v>
      </c>
      <c r="B56" s="5">
        <v>1.5</v>
      </c>
      <c r="C56" s="5">
        <v>0.18920000000000001</v>
      </c>
      <c r="D56" s="45">
        <f>F52/(1.5/128)</f>
        <v>40</v>
      </c>
      <c r="E56" s="20" t="s">
        <v>27</v>
      </c>
      <c r="F56" s="5">
        <f>D56*1.5/128</f>
        <v>0.46875</v>
      </c>
      <c r="G56" s="64">
        <v>62</v>
      </c>
      <c r="H56" s="44" t="s">
        <v>32</v>
      </c>
      <c r="I56" s="15">
        <f>(G56/64)*(D56/43.56)</f>
        <v>0.88957759412304871</v>
      </c>
      <c r="J56" s="15">
        <f t="shared" si="0"/>
        <v>38.750000000000007</v>
      </c>
    </row>
    <row r="57" spans="1:13">
      <c r="A57" s="3" t="s">
        <v>2</v>
      </c>
      <c r="B57" s="5">
        <v>4</v>
      </c>
      <c r="C57" s="5">
        <v>0.39600000000000002</v>
      </c>
      <c r="D57" s="45">
        <f>F53/0.03125</f>
        <v>1.2</v>
      </c>
      <c r="E57" s="20" t="s">
        <v>27</v>
      </c>
      <c r="F57" s="5">
        <f>D57*0.03125</f>
        <v>3.7499999999999999E-2</v>
      </c>
      <c r="G57" s="64">
        <v>300</v>
      </c>
      <c r="H57" s="44" t="s">
        <v>32</v>
      </c>
      <c r="I57" s="15">
        <f>(G57/64)*(D57/43.56)</f>
        <v>0.12913223140495866</v>
      </c>
      <c r="J57" s="15">
        <f t="shared" si="0"/>
        <v>5.625</v>
      </c>
      <c r="M57" s="4"/>
    </row>
    <row r="58" spans="1:13" ht="15.75" thickBot="1">
      <c r="A58" s="63" t="s">
        <v>16</v>
      </c>
      <c r="B58" s="29"/>
      <c r="C58" s="29"/>
      <c r="D58" s="46">
        <f>F54/0.01859</f>
        <v>29.585798816568051</v>
      </c>
      <c r="E58" s="30" t="s">
        <v>27</v>
      </c>
      <c r="F58" s="29"/>
      <c r="G58" s="66">
        <v>45</v>
      </c>
      <c r="H58" s="58" t="s">
        <v>31</v>
      </c>
      <c r="I58" s="32">
        <f>(G58/128)*(D58/43.56)</f>
        <v>0.23878001369260113</v>
      </c>
      <c r="J58" s="32">
        <f t="shared" si="0"/>
        <v>10.401257396449706</v>
      </c>
    </row>
    <row r="59" spans="1:13" ht="15" hidden="1" customHeight="1">
      <c r="A59" s="59" t="s">
        <v>21</v>
      </c>
      <c r="B59" s="60">
        <v>2.38</v>
      </c>
      <c r="C59" s="59">
        <v>0.30890000000000001</v>
      </c>
      <c r="D59" s="61"/>
      <c r="E59" s="61"/>
      <c r="F59" s="62">
        <f>D58/128*2.38</f>
        <v>0.55011094674556216</v>
      </c>
      <c r="G59" s="60"/>
      <c r="H59" s="60"/>
      <c r="I59" s="60"/>
      <c r="J59" s="60"/>
    </row>
    <row r="60" spans="1:13" ht="15" hidden="1" customHeight="1">
      <c r="A60" s="2" t="s">
        <v>22</v>
      </c>
      <c r="B60" s="5">
        <v>0.63</v>
      </c>
      <c r="C60" s="2">
        <v>8.2299999999999998E-2</v>
      </c>
      <c r="D60" s="8"/>
      <c r="E60" s="8"/>
      <c r="F60" s="57">
        <f>D58/128*0.63</f>
        <v>0.14561760355029588</v>
      </c>
      <c r="G60" s="5"/>
      <c r="H60" s="5"/>
      <c r="I60" s="5"/>
      <c r="J60" s="5"/>
    </row>
    <row r="61" spans="1:13" ht="15" hidden="1" customHeight="1">
      <c r="A61" s="2" t="s">
        <v>23</v>
      </c>
      <c r="B61" s="5">
        <v>0.22</v>
      </c>
      <c r="C61" s="2">
        <v>2.7699999999999999E-2</v>
      </c>
      <c r="D61" s="2"/>
      <c r="E61" s="2"/>
      <c r="F61" s="57">
        <f>D58/128*0.22</f>
        <v>5.0850591715976341E-2</v>
      </c>
      <c r="G61" s="5"/>
      <c r="H61" s="5"/>
      <c r="I61" s="5"/>
      <c r="J61" s="5"/>
    </row>
    <row r="62" spans="1:13">
      <c r="G62" s="16"/>
      <c r="H62" s="16" t="s">
        <v>29</v>
      </c>
      <c r="I62" s="53">
        <f>SUM(I56:I61)</f>
        <v>1.2574898392206084</v>
      </c>
      <c r="J62" s="53">
        <f>SUM(J56:J61)</f>
        <v>54.776257396449715</v>
      </c>
    </row>
    <row r="63" spans="1:13" ht="15.75" thickBot="1"/>
    <row r="64" spans="1:13" ht="15.75">
      <c r="A64" s="56" t="s">
        <v>3</v>
      </c>
      <c r="B64" s="24" t="s">
        <v>9</v>
      </c>
      <c r="C64" s="24" t="s">
        <v>6</v>
      </c>
      <c r="D64" s="24" t="s">
        <v>5</v>
      </c>
      <c r="E64" s="24" t="s">
        <v>25</v>
      </c>
      <c r="F64" s="24" t="s">
        <v>10</v>
      </c>
      <c r="G64" s="24" t="s">
        <v>30</v>
      </c>
      <c r="H64" s="24" t="s">
        <v>25</v>
      </c>
      <c r="I64" s="24" t="s">
        <v>24</v>
      </c>
      <c r="J64" s="24" t="s">
        <v>11</v>
      </c>
    </row>
    <row r="65" spans="1:10">
      <c r="A65" s="55" t="s">
        <v>15</v>
      </c>
      <c r="B65" s="10"/>
      <c r="C65" s="10"/>
      <c r="D65" s="67">
        <v>5</v>
      </c>
      <c r="E65" s="20" t="s">
        <v>26</v>
      </c>
      <c r="F65" s="10"/>
      <c r="G65" s="64">
        <v>141</v>
      </c>
      <c r="H65" s="44" t="s">
        <v>31</v>
      </c>
      <c r="I65" s="53">
        <f>(G65/128)*(D65*16)/43.56</f>
        <v>2.0230716253443526</v>
      </c>
      <c r="J65" s="53">
        <f>I65*43.56</f>
        <v>88.125</v>
      </c>
    </row>
    <row r="66" spans="1:10" hidden="1">
      <c r="A66" s="2" t="s">
        <v>17</v>
      </c>
      <c r="B66" s="5">
        <v>0.75</v>
      </c>
      <c r="C66" s="5">
        <v>8.43E-2</v>
      </c>
      <c r="D66" s="2"/>
      <c r="E66" s="11"/>
      <c r="F66" s="5">
        <f>D65/8*B66</f>
        <v>0.46875</v>
      </c>
      <c r="G66" s="69"/>
      <c r="H66" s="12"/>
      <c r="I66" s="5"/>
      <c r="J66" s="15">
        <f t="shared" ref="J66:J72" si="1">I66*43.56</f>
        <v>0</v>
      </c>
    </row>
    <row r="67" spans="1:10" hidden="1">
      <c r="A67" s="2" t="s">
        <v>18</v>
      </c>
      <c r="B67" s="5">
        <v>0.06</v>
      </c>
      <c r="C67" s="5">
        <v>6.8999999999999999E-3</v>
      </c>
      <c r="D67" s="2"/>
      <c r="E67" s="11"/>
      <c r="F67" s="5">
        <f>D65/8*B67</f>
        <v>3.7499999999999999E-2</v>
      </c>
      <c r="G67" s="69"/>
      <c r="H67" s="12"/>
      <c r="I67" s="5"/>
      <c r="J67" s="15">
        <f t="shared" si="1"/>
        <v>0</v>
      </c>
    </row>
    <row r="68" spans="1:10" hidden="1">
      <c r="A68" s="2" t="s">
        <v>19</v>
      </c>
      <c r="B68" s="5">
        <v>0.88</v>
      </c>
      <c r="C68" s="5">
        <v>11.81</v>
      </c>
      <c r="D68" s="2"/>
      <c r="E68" s="11"/>
      <c r="F68" s="5">
        <f>D65/8*B68</f>
        <v>0.55000000000000004</v>
      </c>
      <c r="G68" s="69"/>
      <c r="H68" s="12"/>
      <c r="I68" s="5"/>
      <c r="J68" s="15">
        <f t="shared" si="1"/>
        <v>0</v>
      </c>
    </row>
    <row r="69" spans="1:10" hidden="1">
      <c r="A69" s="2" t="s">
        <v>20</v>
      </c>
      <c r="B69" s="5">
        <v>0.1</v>
      </c>
      <c r="C69" s="5">
        <v>1.49E-2</v>
      </c>
      <c r="D69" s="2"/>
      <c r="E69" s="11"/>
      <c r="F69" s="5">
        <f>D65/8*B69</f>
        <v>6.25E-2</v>
      </c>
      <c r="G69" s="69"/>
      <c r="H69" s="12"/>
      <c r="I69" s="5"/>
      <c r="J69" s="15">
        <f t="shared" si="1"/>
        <v>0</v>
      </c>
    </row>
    <row r="70" spans="1:10">
      <c r="A70" s="3" t="s">
        <v>14</v>
      </c>
      <c r="B70" s="5">
        <v>0.75</v>
      </c>
      <c r="C70" s="5">
        <v>0.18920000000000001</v>
      </c>
      <c r="D70" s="45">
        <f>F66/(0.75/16)</f>
        <v>10</v>
      </c>
      <c r="E70" s="20" t="s">
        <v>28</v>
      </c>
      <c r="F70" s="5">
        <f>D70/16*0.75</f>
        <v>0.46875</v>
      </c>
      <c r="G70" s="64">
        <v>45</v>
      </c>
      <c r="H70" s="44" t="s">
        <v>35</v>
      </c>
      <c r="I70" s="15">
        <f>(G70/16)*(D70/43.56)</f>
        <v>0.64566115702479343</v>
      </c>
      <c r="J70" s="15">
        <f t="shared" si="1"/>
        <v>28.125000000000004</v>
      </c>
    </row>
    <row r="71" spans="1:10">
      <c r="A71" s="3" t="s">
        <v>2</v>
      </c>
      <c r="B71" s="5">
        <v>4</v>
      </c>
      <c r="C71" s="5">
        <v>0.39600000000000002</v>
      </c>
      <c r="D71" s="45">
        <f>F67/0.03125</f>
        <v>1.2</v>
      </c>
      <c r="E71" s="20" t="s">
        <v>27</v>
      </c>
      <c r="F71" s="5">
        <f>D71*0.03125</f>
        <v>3.7499999999999999E-2</v>
      </c>
      <c r="G71" s="64">
        <v>300</v>
      </c>
      <c r="H71" s="44" t="s">
        <v>32</v>
      </c>
      <c r="I71" s="15">
        <f>(G71/64)*(D71/43.56)</f>
        <v>0.12913223140495866</v>
      </c>
      <c r="J71" s="15">
        <f t="shared" si="1"/>
        <v>5.625</v>
      </c>
    </row>
    <row r="72" spans="1:10" ht="15.75" thickBot="1">
      <c r="A72" s="63" t="s">
        <v>16</v>
      </c>
      <c r="B72" s="29"/>
      <c r="C72" s="29"/>
      <c r="D72" s="46">
        <f>F68/0.01859</f>
        <v>29.585798816568051</v>
      </c>
      <c r="E72" s="30" t="s">
        <v>27</v>
      </c>
      <c r="F72" s="29"/>
      <c r="G72" s="66">
        <v>45</v>
      </c>
      <c r="H72" s="58" t="s">
        <v>31</v>
      </c>
      <c r="I72" s="32">
        <f>(G72/128)*(D72/43.56)</f>
        <v>0.23878001369260113</v>
      </c>
      <c r="J72" s="32">
        <f t="shared" si="1"/>
        <v>10.401257396449706</v>
      </c>
    </row>
    <row r="73" spans="1:10" hidden="1">
      <c r="A73" s="59" t="s">
        <v>21</v>
      </c>
      <c r="B73" s="60">
        <v>2.38</v>
      </c>
      <c r="C73" s="59">
        <v>0.30890000000000001</v>
      </c>
      <c r="D73" s="61"/>
      <c r="E73" s="61"/>
      <c r="F73" s="62">
        <f>D72/128*2.38</f>
        <v>0.55011094674556216</v>
      </c>
      <c r="G73" s="60"/>
      <c r="H73" s="60"/>
      <c r="I73" s="60"/>
      <c r="J73" s="60"/>
    </row>
    <row r="74" spans="1:10" hidden="1">
      <c r="A74" s="2" t="s">
        <v>22</v>
      </c>
      <c r="B74" s="5">
        <v>0.63</v>
      </c>
      <c r="C74" s="2">
        <v>8.2299999999999998E-2</v>
      </c>
      <c r="D74" s="8"/>
      <c r="E74" s="8"/>
      <c r="F74" s="57">
        <f>D72/128*0.63</f>
        <v>0.14561760355029588</v>
      </c>
      <c r="G74" s="5"/>
      <c r="H74" s="5"/>
      <c r="I74" s="5"/>
      <c r="J74" s="5"/>
    </row>
    <row r="75" spans="1:10" hidden="1">
      <c r="A75" s="2" t="s">
        <v>23</v>
      </c>
      <c r="B75" s="5">
        <v>0.22</v>
      </c>
      <c r="C75" s="2">
        <v>2.7699999999999999E-2</v>
      </c>
      <c r="D75" s="2"/>
      <c r="E75" s="2"/>
      <c r="F75" s="57">
        <f>D72/128*0.22</f>
        <v>5.0850591715976341E-2</v>
      </c>
      <c r="G75" s="5"/>
      <c r="H75" s="5"/>
      <c r="I75" s="5"/>
      <c r="J75" s="5"/>
    </row>
    <row r="76" spans="1:10">
      <c r="G76" s="16"/>
      <c r="H76" s="16" t="s">
        <v>29</v>
      </c>
      <c r="I76" s="53">
        <f>SUM(I70:I75)</f>
        <v>1.0135734021223533</v>
      </c>
      <c r="J76" s="53">
        <f>SUM(J70:J75)</f>
        <v>44.151257396449708</v>
      </c>
    </row>
  </sheetData>
  <sheetProtection algorithmName="SHA-512" hashValue="oWnNBWeZDLbBP1u02R1FaNfnl5SAKRbMvvQ+53G30dnD4nRgOwVk6HYdUdA/BtyWyufxk3oz+2VYmDFDwiglAQ==" saltValue="fj3hJd6y4yCJRvg1HHtA0A==" spinCount="100000" sheet="1" selectLockedCells="1"/>
  <mergeCells count="1">
    <mergeCell ref="A1:J1"/>
  </mergeCells>
  <dataValidations count="5">
    <dataValidation type="list" allowBlank="1" showInputMessage="1" showErrorMessage="1" sqref="D3">
      <formula1>"8,9,10,11,12,13,14,15,16,17,18,19,20,21,22,23,24,25,26,27,28,29,30,31,32,33,34,35,36"</formula1>
    </dataValidation>
    <dataValidation type="list" allowBlank="1" showInputMessage="1" showErrorMessage="1" sqref="D11">
      <formula1>"3.25,4,5,6,6.5,7,8,9,10"</formula1>
    </dataValidation>
    <dataValidation type="list" allowBlank="1" showInputMessage="1" showErrorMessage="1" sqref="D27 D19">
      <formula1>"16,17,18,19,20,21,22,23,24,25,26,27,28,29,30,31,32"</formula1>
    </dataValidation>
    <dataValidation type="list" allowBlank="1" showInputMessage="1" showErrorMessage="1" sqref="D51 D65">
      <formula1>"5,6,7,8"</formula1>
    </dataValidation>
    <dataValidation type="list" allowBlank="1" showInputMessage="1" showErrorMessage="1" sqref="D35 D43">
      <formula1>"5.4,6,7,8,9,10,10.7"</formula1>
    </dataValidation>
  </dataValidations>
  <pageMargins left="0.7" right="0.7" top="0.75" bottom="0.75" header="0.3" footer="0.3"/>
  <pageSetup orientation="portrait" r:id="rId1"/>
  <ignoredErrors>
    <ignoredError sqref="F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justin.watts</dc:creator>
  <cp:lastModifiedBy>pwalker</cp:lastModifiedBy>
  <dcterms:created xsi:type="dcterms:W3CDTF">2016-10-28T01:24:24Z</dcterms:created>
  <dcterms:modified xsi:type="dcterms:W3CDTF">2018-06-20T18:36:52Z</dcterms:modified>
</cp:coreProperties>
</file>